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2330"/>
  </bookViews>
  <sheets>
    <sheet name="Pielikums Nr4" sheetId="1" r:id="rId1"/>
  </sheets>
  <definedNames>
    <definedName name="_xlnm.Print_Area" localSheetId="0">'Pielikums Nr4'!$A$1:$N$68</definedName>
  </definedNames>
  <calcPr calcId="145621"/>
</workbook>
</file>

<file path=xl/calcChain.xml><?xml version="1.0" encoding="utf-8"?>
<calcChain xmlns="http://schemas.openxmlformats.org/spreadsheetml/2006/main">
  <c r="H53" i="1" l="1"/>
  <c r="F53" i="1"/>
  <c r="J46" i="1"/>
  <c r="H46" i="1"/>
  <c r="E46" i="1"/>
  <c r="F46" i="1" s="1"/>
  <c r="J45" i="1"/>
  <c r="H45" i="1"/>
  <c r="E45" i="1"/>
  <c r="F45" i="1" s="1"/>
  <c r="J44" i="1"/>
  <c r="H44" i="1"/>
  <c r="E44" i="1"/>
  <c r="F44" i="1" s="1"/>
  <c r="J43" i="1"/>
  <c r="H43" i="1"/>
  <c r="E43" i="1"/>
  <c r="F43" i="1" s="1"/>
  <c r="J42" i="1"/>
  <c r="H42" i="1"/>
  <c r="E42" i="1"/>
  <c r="F42" i="1" s="1"/>
  <c r="J41" i="1"/>
  <c r="H41" i="1"/>
  <c r="E41" i="1"/>
  <c r="F41" i="1" s="1"/>
  <c r="J40" i="1"/>
  <c r="H40" i="1"/>
  <c r="E40" i="1"/>
  <c r="F40" i="1" s="1"/>
  <c r="J39" i="1"/>
  <c r="H39" i="1"/>
  <c r="E39" i="1"/>
  <c r="F39" i="1" s="1"/>
  <c r="J38" i="1"/>
  <c r="H38" i="1"/>
  <c r="G38" i="1"/>
  <c r="E38" i="1"/>
  <c r="F38" i="1" s="1"/>
  <c r="J37" i="1"/>
  <c r="J36" i="1" s="1"/>
  <c r="H37" i="1"/>
  <c r="G37" i="1"/>
  <c r="E37" i="1"/>
  <c r="F37" i="1" s="1"/>
  <c r="N36" i="1"/>
  <c r="L36" i="1"/>
  <c r="H36" i="1"/>
  <c r="D36" i="1"/>
  <c r="J35" i="1"/>
  <c r="H35" i="1"/>
  <c r="N34" i="1"/>
  <c r="L34" i="1"/>
  <c r="J34" i="1"/>
  <c r="N33" i="1"/>
  <c r="M33" i="1"/>
  <c r="K33" i="1"/>
  <c r="L33" i="1" s="1"/>
  <c r="J33" i="1"/>
  <c r="I33" i="1"/>
  <c r="G33" i="1"/>
  <c r="H33" i="1" s="1"/>
  <c r="F33" i="1"/>
  <c r="E33" i="1"/>
  <c r="M32" i="1"/>
  <c r="N32" i="1" s="1"/>
  <c r="N31" i="1" s="1"/>
  <c r="L32" i="1"/>
  <c r="K32" i="1"/>
  <c r="I32" i="1"/>
  <c r="J32" i="1" s="1"/>
  <c r="J31" i="1" s="1"/>
  <c r="E32" i="1"/>
  <c r="G32" i="1" s="1"/>
  <c r="H32" i="1" s="1"/>
  <c r="D31" i="1"/>
  <c r="N29" i="1"/>
  <c r="L29" i="1"/>
  <c r="J29" i="1"/>
  <c r="N28" i="1"/>
  <c r="L28" i="1"/>
  <c r="J28" i="1"/>
  <c r="N27" i="1"/>
  <c r="L27" i="1"/>
  <c r="J27" i="1"/>
  <c r="M26" i="1"/>
  <c r="N26" i="1" s="1"/>
  <c r="L26" i="1"/>
  <c r="K26" i="1"/>
  <c r="I26" i="1"/>
  <c r="J26" i="1" s="1"/>
  <c r="E26" i="1"/>
  <c r="G26" i="1" s="1"/>
  <c r="H26" i="1" s="1"/>
  <c r="N25" i="1"/>
  <c r="M25" i="1"/>
  <c r="K25" i="1"/>
  <c r="L25" i="1" s="1"/>
  <c r="J25" i="1"/>
  <c r="I25" i="1"/>
  <c r="G25" i="1"/>
  <c r="H25" i="1" s="1"/>
  <c r="F25" i="1"/>
  <c r="E25" i="1"/>
  <c r="M24" i="1"/>
  <c r="N24" i="1" s="1"/>
  <c r="L24" i="1"/>
  <c r="L23" i="1" s="1"/>
  <c r="K24" i="1"/>
  <c r="I24" i="1"/>
  <c r="J24" i="1" s="1"/>
  <c r="J23" i="1" s="1"/>
  <c r="E24" i="1"/>
  <c r="G24" i="1" s="1"/>
  <c r="H24" i="1" s="1"/>
  <c r="D23" i="1"/>
  <c r="N22" i="1"/>
  <c r="L22" i="1"/>
  <c r="J22" i="1"/>
  <c r="M21" i="1"/>
  <c r="N21" i="1" s="1"/>
  <c r="N17" i="1" s="1"/>
  <c r="L21" i="1"/>
  <c r="K21" i="1"/>
  <c r="I21" i="1"/>
  <c r="J21" i="1" s="1"/>
  <c r="E21" i="1"/>
  <c r="G21" i="1" s="1"/>
  <c r="H21" i="1" s="1"/>
  <c r="D21" i="1"/>
  <c r="N20" i="1"/>
  <c r="M20" i="1"/>
  <c r="L20" i="1"/>
  <c r="K20" i="1"/>
  <c r="I20" i="1"/>
  <c r="J20" i="1" s="1"/>
  <c r="E20" i="1"/>
  <c r="F20" i="1" s="1"/>
  <c r="D20" i="1"/>
  <c r="N19" i="1"/>
  <c r="M19" i="1"/>
  <c r="L19" i="1"/>
  <c r="K19" i="1"/>
  <c r="J19" i="1"/>
  <c r="I19" i="1"/>
  <c r="H19" i="1"/>
  <c r="G19" i="1"/>
  <c r="F19" i="1"/>
  <c r="E19" i="1"/>
  <c r="D19" i="1"/>
  <c r="D17" i="1" s="1"/>
  <c r="D16" i="1" s="1"/>
  <c r="N18" i="1"/>
  <c r="M18" i="1"/>
  <c r="K18" i="1"/>
  <c r="L18" i="1" s="1"/>
  <c r="L17" i="1" s="1"/>
  <c r="J18" i="1"/>
  <c r="I18" i="1"/>
  <c r="G18" i="1"/>
  <c r="H18" i="1" s="1"/>
  <c r="F18" i="1"/>
  <c r="E18" i="1"/>
  <c r="D18" i="1"/>
  <c r="N15" i="1"/>
  <c r="M15" i="1"/>
  <c r="L15" i="1"/>
  <c r="K15" i="1"/>
  <c r="J15" i="1"/>
  <c r="I15" i="1"/>
  <c r="E15" i="1"/>
  <c r="G15" i="1" s="1"/>
  <c r="H15" i="1" s="1"/>
  <c r="N14" i="1"/>
  <c r="M14" i="1"/>
  <c r="K14" i="1"/>
  <c r="L14" i="1" s="1"/>
  <c r="J14" i="1"/>
  <c r="I14" i="1"/>
  <c r="G14" i="1"/>
  <c r="H14" i="1" s="1"/>
  <c r="F14" i="1"/>
  <c r="E14" i="1"/>
  <c r="M13" i="1"/>
  <c r="N13" i="1" s="1"/>
  <c r="L13" i="1"/>
  <c r="K13" i="1"/>
  <c r="I13" i="1"/>
  <c r="J13" i="1" s="1"/>
  <c r="E13" i="1"/>
  <c r="F13" i="1" s="1"/>
  <c r="N12" i="1"/>
  <c r="M12" i="1"/>
  <c r="K12" i="1"/>
  <c r="L12" i="1" s="1"/>
  <c r="J12" i="1"/>
  <c r="I12" i="1"/>
  <c r="G12" i="1"/>
  <c r="H12" i="1" s="1"/>
  <c r="F12" i="1"/>
  <c r="E12" i="1"/>
  <c r="M11" i="1"/>
  <c r="N11" i="1" s="1"/>
  <c r="L11" i="1"/>
  <c r="K11" i="1"/>
  <c r="I11" i="1"/>
  <c r="J11" i="1" s="1"/>
  <c r="E11" i="1"/>
  <c r="F11" i="1" s="1"/>
  <c r="N10" i="1"/>
  <c r="M10" i="1"/>
  <c r="K10" i="1"/>
  <c r="L10" i="1" s="1"/>
  <c r="J10" i="1"/>
  <c r="I10" i="1"/>
  <c r="G10" i="1"/>
  <c r="H10" i="1" s="1"/>
  <c r="F10" i="1"/>
  <c r="E10" i="1"/>
  <c r="M9" i="1"/>
  <c r="N9" i="1" s="1"/>
  <c r="N7" i="1" s="1"/>
  <c r="L9" i="1"/>
  <c r="K9" i="1"/>
  <c r="I9" i="1"/>
  <c r="J9" i="1" s="1"/>
  <c r="J7" i="1" s="1"/>
  <c r="E9" i="1"/>
  <c r="F9" i="1" s="1"/>
  <c r="F7" i="1" s="1"/>
  <c r="N8" i="1"/>
  <c r="L8" i="1"/>
  <c r="J8" i="1"/>
  <c r="H8" i="1"/>
  <c r="G8" i="1"/>
  <c r="H29" i="1" s="1"/>
  <c r="F8" i="1"/>
  <c r="E8" i="1"/>
  <c r="D7" i="1"/>
  <c r="L7" i="1" l="1"/>
  <c r="J17" i="1"/>
  <c r="J16" i="1" s="1"/>
  <c r="J50" i="1" s="1"/>
  <c r="N23" i="1"/>
  <c r="D50" i="1"/>
  <c r="D51" i="1" s="1"/>
  <c r="D53" i="1" s="1"/>
  <c r="F36" i="1"/>
  <c r="N16" i="1"/>
  <c r="N50" i="1" s="1"/>
  <c r="L31" i="1"/>
  <c r="L16" i="1" s="1"/>
  <c r="L50" i="1" s="1"/>
  <c r="G9" i="1"/>
  <c r="H9" i="1" s="1"/>
  <c r="H7" i="1" s="1"/>
  <c r="G11" i="1"/>
  <c r="H11" i="1" s="1"/>
  <c r="G13" i="1"/>
  <c r="H13" i="1" s="1"/>
  <c r="G20" i="1"/>
  <c r="H20" i="1" s="1"/>
  <c r="H34" i="1"/>
  <c r="H31" i="1" s="1"/>
  <c r="F21" i="1"/>
  <c r="F17" i="1" s="1"/>
  <c r="F24" i="1"/>
  <c r="F26" i="1"/>
  <c r="F32" i="1"/>
  <c r="F31" i="1" s="1"/>
  <c r="H22" i="1"/>
  <c r="H17" i="1" s="1"/>
  <c r="H27" i="1"/>
  <c r="H23" i="1" s="1"/>
  <c r="H28" i="1"/>
  <c r="L54" i="1" l="1"/>
  <c r="L52" i="1"/>
  <c r="N54" i="1"/>
  <c r="N52" i="1"/>
  <c r="J54" i="1"/>
  <c r="J52" i="1"/>
  <c r="H16" i="1"/>
  <c r="H50" i="1" s="1"/>
  <c r="F23" i="1"/>
  <c r="F16" i="1" s="1"/>
  <c r="F50" i="1" s="1"/>
  <c r="F54" i="1" l="1"/>
  <c r="H51" i="1"/>
  <c r="H52" i="1" s="1"/>
  <c r="F51" i="1"/>
  <c r="H54" i="1"/>
</calcChain>
</file>

<file path=xl/sharedStrings.xml><?xml version="1.0" encoding="utf-8"?>
<sst xmlns="http://schemas.openxmlformats.org/spreadsheetml/2006/main" count="77" uniqueCount="67">
  <si>
    <t>4. pielikums</t>
  </si>
  <si>
    <t>Nepieciešamo MTL papildus iegādes izmaksas</t>
  </si>
  <si>
    <t>2015***</t>
  </si>
  <si>
    <t>JS skaits</t>
  </si>
  <si>
    <t>MTL nosaukums</t>
  </si>
  <si>
    <t>Cena par 1 vienību**</t>
  </si>
  <si>
    <t>Skaits</t>
  </si>
  <si>
    <t>Summa</t>
  </si>
  <si>
    <t>Individuālais ekipējums kopā</t>
  </si>
  <si>
    <t>Formastērpi, uzšuves, u.c.</t>
  </si>
  <si>
    <t>Mugursomas</t>
  </si>
  <si>
    <t>Guļammaisi</t>
  </si>
  <si>
    <t>Paklājiņi</t>
  </si>
  <si>
    <t>Teltene-pončo</t>
  </si>
  <si>
    <t>Lukturīši</t>
  </si>
  <si>
    <t>Kompasi</t>
  </si>
  <si>
    <t>Ēdamrīku komplekti</t>
  </si>
  <si>
    <t>Kolektīvais ekipējums</t>
  </si>
  <si>
    <t>Mācību ieroči un munīcija kopā</t>
  </si>
  <si>
    <t>Pneimatiskie ieroči</t>
  </si>
  <si>
    <t>Rācijas</t>
  </si>
  <si>
    <t>Airsoft ieroči</t>
  </si>
  <si>
    <t>Airsoft  aizsarg - maskas</t>
  </si>
  <si>
    <t>Munīcija, ieroču eļla, u.c.</t>
  </si>
  <si>
    <t>Tūrisma, alpīnisma, sporta  inventārs kopā</t>
  </si>
  <si>
    <t>Karabīnes</t>
  </si>
  <si>
    <t>Teltis (četrvietīgās)</t>
  </si>
  <si>
    <t>Gumijas laivas</t>
  </si>
  <si>
    <t>Virves (pamat, palīgvirves)</t>
  </si>
  <si>
    <t>Alpīnisma ķiveres, gri – gri, žumāri, bumbas, hronometri, cimdi</t>
  </si>
  <si>
    <t>Sporta granātas, bumbas, individuālās pievilkšanās trenažieri, u.c.</t>
  </si>
  <si>
    <t>1-3</t>
  </si>
  <si>
    <t>Medicīnas preces kopā</t>
  </si>
  <si>
    <t>Pirmās palīdzības somas</t>
  </si>
  <si>
    <t>Medicīnas aptieciņas</t>
  </si>
  <si>
    <t>Elastīgās saites, u.c.</t>
  </si>
  <si>
    <t>Kancelejas un saimniecības preces</t>
  </si>
  <si>
    <t xml:space="preserve">Novadu  nodaļām (kopējais)  nepieciešamais  MTL  </t>
  </si>
  <si>
    <t>Kardiopulmonālās palīdzības simulācijas apmācību komplekss</t>
  </si>
  <si>
    <t>Traumas mulāžas komplekts</t>
  </si>
  <si>
    <t>Telts (12 – vietīgās) apkurināmās</t>
  </si>
  <si>
    <t>Mazkalibra ieroči</t>
  </si>
  <si>
    <t>Ģenerators</t>
  </si>
  <si>
    <t>Orientēšanās bezkontakt.reģistrācijas stacijas (ar printeri)</t>
  </si>
  <si>
    <t>Āra trenažiera komplekts</t>
  </si>
  <si>
    <t>Biatlona slēpes</t>
  </si>
  <si>
    <t>Biatlona elektromehāniskie mērķi</t>
  </si>
  <si>
    <t>Biatlona šautenes</t>
  </si>
  <si>
    <t>Datu nolasīšanas stacija</t>
  </si>
  <si>
    <t>Orientēšanās bezkontakt.reģistrācijas kartes</t>
  </si>
  <si>
    <t>Kontakta kontrolstacija startam-finišam</t>
  </si>
  <si>
    <t>KOPĀ</t>
  </si>
  <si>
    <t>Tab. Nr.1</t>
  </si>
  <si>
    <t>Tab. Nr.2</t>
  </si>
  <si>
    <t>t.sk.JPI 2015.-2017.g. un uzturēšana</t>
  </si>
  <si>
    <t>JPI 2016. un turpmākajiem gadiem</t>
  </si>
  <si>
    <t>2-3</t>
  </si>
  <si>
    <t>*Pēc 2020. gada vienam jaunsargam jāplāno 132 eiro MTL iegādei un uzturēšanai, kas gadā sastādīs 2 112 000 eiro</t>
  </si>
  <si>
    <t>** Cenas noteiktas balstoties uz iepriekš veiktajiem iepirkumiem</t>
  </si>
  <si>
    <r>
      <t xml:space="preserve">*** 2015. gadā nepieciešamo MTL iegādes nodrošināšana plānota no RJC pamatfinansējuma un JPI pieprasītā papildu finansējuma. (285 500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</si>
  <si>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Aizsardzības ministrs</t>
  </si>
  <si>
    <t xml:space="preserve">  R.Vējonis</t>
  </si>
  <si>
    <t>Vīza: valsts sekretārs</t>
  </si>
  <si>
    <t xml:space="preserve">     J.Sārts</t>
  </si>
  <si>
    <t>A. Šaraka, 67335275</t>
  </si>
  <si>
    <t>anita.saraka@mod.gov.lv</t>
  </si>
  <si>
    <t>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</si>
</sst>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4" fillId="2" borderId="1" xfId="0" applyNumberFormat="1" applyFont="1" applyFill="1" applyBorder="1" applyAlignment="1">
      <alignment vertical="top"/>
    </xf>
    <xf numFmtId="0" fontId="0" fillId="0" borderId="0" xfId="0" applyAlignment="1"/>
    <xf numFmtId="3" fontId="1" fillId="2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left" vertical="top"/>
    </xf>
    <xf numFmtId="3" fontId="4" fillId="3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/>
    </xf>
    <xf numFmtId="3" fontId="6" fillId="4" borderId="0" xfId="0" applyNumberFormat="1" applyFont="1" applyFill="1" applyBorder="1" applyAlignment="1">
      <alignment horizontal="right" vertical="top" wrapText="1"/>
    </xf>
    <xf numFmtId="3" fontId="4" fillId="4" borderId="0" xfId="0" applyNumberFormat="1" applyFont="1" applyFill="1" applyBorder="1" applyAlignment="1">
      <alignment horizontal="right" vertical="top"/>
    </xf>
    <xf numFmtId="3" fontId="5" fillId="4" borderId="0" xfId="0" applyNumberFormat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horizontal="right" vertical="top" wrapText="1"/>
    </xf>
    <xf numFmtId="3" fontId="1" fillId="4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right"/>
    </xf>
    <xf numFmtId="0" fontId="0" fillId="0" borderId="0" xfId="0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3" fontId="1" fillId="2" borderId="2" xfId="0" applyNumberFormat="1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2" borderId="2" xfId="0" applyNumberFormat="1" applyFont="1" applyFill="1" applyBorder="1" applyAlignment="1">
      <alignment horizontal="center" vertical="top"/>
    </xf>
    <xf numFmtId="1" fontId="4" fillId="2" borderId="3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Layout" topLeftCell="A60" zoomScaleNormal="100" workbookViewId="0">
      <selection activeCell="D62" sqref="D62"/>
    </sheetView>
  </sheetViews>
  <sheetFormatPr defaultRowHeight="15" x14ac:dyDescent="0.25"/>
  <cols>
    <col min="1" max="1" width="33.42578125" style="47" customWidth="1"/>
    <col min="2" max="2" width="10.7109375" customWidth="1"/>
    <col min="3" max="4" width="9" customWidth="1"/>
    <col min="5" max="5" width="7" customWidth="1"/>
    <col min="6" max="6" width="10.5703125" customWidth="1"/>
    <col min="7" max="7" width="7.5703125" customWidth="1"/>
    <col min="8" max="8" width="10" customWidth="1"/>
    <col min="9" max="9" width="8.5703125" customWidth="1"/>
    <col min="10" max="10" width="9.85546875" customWidth="1"/>
    <col min="11" max="11" width="8.5703125" customWidth="1"/>
    <col min="12" max="12" width="10.85546875" customWidth="1"/>
    <col min="13" max="13" width="8.42578125" customWidth="1"/>
    <col min="14" max="14" width="10.5703125" customWidth="1"/>
  </cols>
  <sheetData>
    <row r="1" spans="1:14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 t="s">
        <v>0</v>
      </c>
      <c r="N1" s="52"/>
    </row>
    <row r="2" spans="1:14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5.75" x14ac:dyDescent="0.25">
      <c r="A4" s="3"/>
      <c r="B4" s="3"/>
      <c r="C4" s="54" t="s">
        <v>2</v>
      </c>
      <c r="D4" s="55"/>
      <c r="E4" s="56">
        <v>2016</v>
      </c>
      <c r="F4" s="56"/>
      <c r="G4" s="56">
        <v>2017</v>
      </c>
      <c r="H4" s="56"/>
      <c r="I4" s="56">
        <v>2018</v>
      </c>
      <c r="J4" s="56"/>
      <c r="K4" s="56">
        <v>2019</v>
      </c>
      <c r="L4" s="56"/>
      <c r="M4" s="56">
        <v>2020</v>
      </c>
      <c r="N4" s="56"/>
    </row>
    <row r="5" spans="1:14" s="4" customFormat="1" ht="18.75" customHeight="1" x14ac:dyDescent="0.25">
      <c r="A5" s="5"/>
      <c r="B5" s="5" t="s">
        <v>3</v>
      </c>
      <c r="C5" s="49">
        <v>7000</v>
      </c>
      <c r="D5" s="50"/>
      <c r="E5" s="51">
        <v>7000</v>
      </c>
      <c r="F5" s="51"/>
      <c r="G5" s="51">
        <v>9000</v>
      </c>
      <c r="H5" s="51"/>
      <c r="I5" s="51">
        <v>11500</v>
      </c>
      <c r="J5" s="51"/>
      <c r="K5" s="51">
        <v>14000</v>
      </c>
      <c r="L5" s="51"/>
      <c r="M5" s="51">
        <v>16000</v>
      </c>
      <c r="N5" s="51"/>
    </row>
    <row r="6" spans="1:14" s="4" customFormat="1" ht="30" customHeight="1" x14ac:dyDescent="0.25">
      <c r="A6" s="6" t="s">
        <v>4</v>
      </c>
      <c r="B6" s="7" t="s">
        <v>5</v>
      </c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</row>
    <row r="7" spans="1:14" ht="15.75" x14ac:dyDescent="0.25">
      <c r="A7" s="8" t="s">
        <v>8</v>
      </c>
      <c r="B7" s="9"/>
      <c r="C7" s="9"/>
      <c r="D7" s="9">
        <f>SUM(D8:D15)</f>
        <v>91500</v>
      </c>
      <c r="E7" s="9"/>
      <c r="F7" s="9">
        <f>SUM(F8:F15)</f>
        <v>1227582.5</v>
      </c>
      <c r="G7" s="9"/>
      <c r="H7" s="9">
        <f>SUM(H8:H15)</f>
        <v>1989982.5</v>
      </c>
      <c r="I7" s="9"/>
      <c r="J7" s="9">
        <f>SUM(J8:J15)</f>
        <v>974000</v>
      </c>
      <c r="K7" s="9"/>
      <c r="L7" s="9">
        <f>SUM(L8:L15)</f>
        <v>974000</v>
      </c>
      <c r="M7" s="9"/>
      <c r="N7" s="9">
        <f>SUM(N8:N15)</f>
        <v>779200</v>
      </c>
    </row>
    <row r="8" spans="1:14" ht="15.75" x14ac:dyDescent="0.25">
      <c r="A8" s="10" t="s">
        <v>9</v>
      </c>
      <c r="B8" s="11">
        <v>305</v>
      </c>
      <c r="C8" s="11">
        <v>300</v>
      </c>
      <c r="D8" s="11">
        <v>91500</v>
      </c>
      <c r="E8" s="11">
        <f>6393/2</f>
        <v>3196.5</v>
      </c>
      <c r="F8" s="11">
        <f t="shared" ref="F8:F14" si="0">E8*B8</f>
        <v>974932.5</v>
      </c>
      <c r="G8" s="11">
        <f>2000+E8</f>
        <v>5196.5</v>
      </c>
      <c r="H8" s="11">
        <f>G8*B8</f>
        <v>1584932.5</v>
      </c>
      <c r="I8" s="11">
        <v>2500</v>
      </c>
      <c r="J8" s="11">
        <f>I8*B8</f>
        <v>762500</v>
      </c>
      <c r="K8" s="11">
        <v>2500</v>
      </c>
      <c r="L8" s="11">
        <f>K8*B8</f>
        <v>762500</v>
      </c>
      <c r="M8" s="11">
        <v>2000</v>
      </c>
      <c r="N8" s="11">
        <f>M8*B8</f>
        <v>610000</v>
      </c>
    </row>
    <row r="9" spans="1:14" ht="15.75" x14ac:dyDescent="0.25">
      <c r="A9" s="10" t="s">
        <v>10</v>
      </c>
      <c r="B9" s="11">
        <v>70</v>
      </c>
      <c r="C9" s="11"/>
      <c r="D9" s="11"/>
      <c r="E9" s="11">
        <f>2200/2</f>
        <v>1100</v>
      </c>
      <c r="F9" s="11">
        <f t="shared" si="0"/>
        <v>77000</v>
      </c>
      <c r="G9" s="11">
        <f>2000*0.4+E9</f>
        <v>1900</v>
      </c>
      <c r="H9" s="11">
        <f t="shared" ref="H9:H46" si="1">G9*B9</f>
        <v>133000</v>
      </c>
      <c r="I9" s="11">
        <f>I8*0.4</f>
        <v>1000</v>
      </c>
      <c r="J9" s="11">
        <f>I9*B9</f>
        <v>70000</v>
      </c>
      <c r="K9" s="11">
        <f>K8*0.4</f>
        <v>1000</v>
      </c>
      <c r="L9" s="11">
        <f t="shared" ref="L9:L21" si="2">K9*B9</f>
        <v>70000</v>
      </c>
      <c r="M9" s="11">
        <f>M8*0.4</f>
        <v>800</v>
      </c>
      <c r="N9" s="11">
        <f t="shared" ref="N9:N15" si="3">M9*B9</f>
        <v>56000</v>
      </c>
    </row>
    <row r="10" spans="1:14" ht="15.75" x14ac:dyDescent="0.25">
      <c r="A10" s="10" t="s">
        <v>11</v>
      </c>
      <c r="B10" s="11">
        <v>60</v>
      </c>
      <c r="C10" s="11"/>
      <c r="D10" s="11"/>
      <c r="E10" s="11">
        <f>2200/2</f>
        <v>1100</v>
      </c>
      <c r="F10" s="11">
        <f t="shared" si="0"/>
        <v>66000</v>
      </c>
      <c r="G10" s="11">
        <f>2000*0.4+E10</f>
        <v>1900</v>
      </c>
      <c r="H10" s="11">
        <f t="shared" si="1"/>
        <v>114000</v>
      </c>
      <c r="I10" s="11">
        <f>I8*0.4</f>
        <v>1000</v>
      </c>
      <c r="J10" s="11">
        <f t="shared" ref="J10:J21" si="4">I10*B10</f>
        <v>60000</v>
      </c>
      <c r="K10" s="11">
        <f>K8*0.4</f>
        <v>1000</v>
      </c>
      <c r="L10" s="11">
        <f t="shared" si="2"/>
        <v>60000</v>
      </c>
      <c r="M10" s="11">
        <f>M8*0.4</f>
        <v>800</v>
      </c>
      <c r="N10" s="11">
        <f t="shared" si="3"/>
        <v>48000</v>
      </c>
    </row>
    <row r="11" spans="1:14" ht="15.75" x14ac:dyDescent="0.25">
      <c r="A11" s="10" t="s">
        <v>12</v>
      </c>
      <c r="B11" s="11">
        <v>8</v>
      </c>
      <c r="C11" s="11"/>
      <c r="D11" s="11"/>
      <c r="E11" s="11">
        <f>2200/2</f>
        <v>1100</v>
      </c>
      <c r="F11" s="11">
        <f t="shared" si="0"/>
        <v>8800</v>
      </c>
      <c r="G11" s="11">
        <f>2000*0.4+E11</f>
        <v>1900</v>
      </c>
      <c r="H11" s="11">
        <f t="shared" si="1"/>
        <v>15200</v>
      </c>
      <c r="I11" s="11">
        <f>I8*0.4</f>
        <v>1000</v>
      </c>
      <c r="J11" s="11">
        <f t="shared" si="4"/>
        <v>8000</v>
      </c>
      <c r="K11" s="11">
        <f>K8*0.4</f>
        <v>1000</v>
      </c>
      <c r="L11" s="11">
        <f t="shared" si="2"/>
        <v>8000</v>
      </c>
      <c r="M11" s="11">
        <f>M8*0.4</f>
        <v>800</v>
      </c>
      <c r="N11" s="11">
        <f t="shared" si="3"/>
        <v>6400</v>
      </c>
    </row>
    <row r="12" spans="1:14" ht="15.75" x14ac:dyDescent="0.25">
      <c r="A12" s="10" t="s">
        <v>13</v>
      </c>
      <c r="B12" s="11">
        <v>20</v>
      </c>
      <c r="C12" s="11"/>
      <c r="D12" s="11"/>
      <c r="E12" s="11">
        <f>2200/2</f>
        <v>1100</v>
      </c>
      <c r="F12" s="11">
        <f t="shared" si="0"/>
        <v>22000</v>
      </c>
      <c r="G12" s="11">
        <f>2000*0.4+E12</f>
        <v>1900</v>
      </c>
      <c r="H12" s="11">
        <f t="shared" si="1"/>
        <v>38000</v>
      </c>
      <c r="I12" s="11">
        <f>I8*0.4</f>
        <v>1000</v>
      </c>
      <c r="J12" s="11">
        <f t="shared" si="4"/>
        <v>20000</v>
      </c>
      <c r="K12" s="11">
        <f>K8*0.4</f>
        <v>1000</v>
      </c>
      <c r="L12" s="11">
        <f t="shared" si="2"/>
        <v>20000</v>
      </c>
      <c r="M12" s="11">
        <f>M8*0.4</f>
        <v>800</v>
      </c>
      <c r="N12" s="11">
        <f t="shared" si="3"/>
        <v>16000</v>
      </c>
    </row>
    <row r="13" spans="1:14" ht="15.75" x14ac:dyDescent="0.25">
      <c r="A13" s="10" t="s">
        <v>14</v>
      </c>
      <c r="B13" s="11">
        <v>25</v>
      </c>
      <c r="C13" s="11"/>
      <c r="D13" s="11"/>
      <c r="E13" s="11">
        <f>648/2</f>
        <v>324</v>
      </c>
      <c r="F13" s="11">
        <f t="shared" si="0"/>
        <v>8100</v>
      </c>
      <c r="G13" s="11">
        <f>2000*0.12+E13</f>
        <v>564</v>
      </c>
      <c r="H13" s="11">
        <f t="shared" si="1"/>
        <v>14100</v>
      </c>
      <c r="I13" s="11">
        <f>I8*0.12</f>
        <v>300</v>
      </c>
      <c r="J13" s="11">
        <f t="shared" si="4"/>
        <v>7500</v>
      </c>
      <c r="K13" s="11">
        <f>K8*0.12</f>
        <v>300</v>
      </c>
      <c r="L13" s="11">
        <f t="shared" si="2"/>
        <v>7500</v>
      </c>
      <c r="M13" s="11">
        <f>M8*0.12</f>
        <v>240</v>
      </c>
      <c r="N13" s="11">
        <f t="shared" si="3"/>
        <v>6000</v>
      </c>
    </row>
    <row r="14" spans="1:14" ht="15.75" x14ac:dyDescent="0.25">
      <c r="A14" s="10" t="s">
        <v>15</v>
      </c>
      <c r="B14" s="11">
        <v>55</v>
      </c>
      <c r="C14" s="11"/>
      <c r="D14" s="11"/>
      <c r="E14" s="11">
        <f>1300/2</f>
        <v>650</v>
      </c>
      <c r="F14" s="11">
        <f t="shared" si="0"/>
        <v>35750</v>
      </c>
      <c r="G14" s="11">
        <f>2000*0.24+E14</f>
        <v>1130</v>
      </c>
      <c r="H14" s="11">
        <f t="shared" si="1"/>
        <v>62150</v>
      </c>
      <c r="I14" s="11">
        <f>I8*0.24</f>
        <v>600</v>
      </c>
      <c r="J14" s="11">
        <f t="shared" si="4"/>
        <v>33000</v>
      </c>
      <c r="K14" s="11">
        <f>K8*0.24</f>
        <v>600</v>
      </c>
      <c r="L14" s="11">
        <f t="shared" si="2"/>
        <v>33000</v>
      </c>
      <c r="M14" s="11">
        <f>M8*0.24</f>
        <v>480</v>
      </c>
      <c r="N14" s="11">
        <f t="shared" si="3"/>
        <v>26400</v>
      </c>
    </row>
    <row r="15" spans="1:14" ht="15.75" x14ac:dyDescent="0.25">
      <c r="A15" s="10" t="s">
        <v>16</v>
      </c>
      <c r="B15" s="11">
        <v>13</v>
      </c>
      <c r="C15" s="11"/>
      <c r="D15" s="11"/>
      <c r="E15" s="11">
        <f>7000*0.4/2</f>
        <v>1400</v>
      </c>
      <c r="F15" s="11">
        <v>35000</v>
      </c>
      <c r="G15" s="11">
        <f>2000*0.4+E15</f>
        <v>2200</v>
      </c>
      <c r="H15" s="11">
        <f t="shared" si="1"/>
        <v>28600</v>
      </c>
      <c r="I15" s="11">
        <f>I8*0.4</f>
        <v>1000</v>
      </c>
      <c r="J15" s="11">
        <f t="shared" si="4"/>
        <v>13000</v>
      </c>
      <c r="K15" s="11">
        <f>K8*0.4</f>
        <v>1000</v>
      </c>
      <c r="L15" s="11">
        <f t="shared" si="2"/>
        <v>13000</v>
      </c>
      <c r="M15" s="11">
        <f>M8*0.4</f>
        <v>800</v>
      </c>
      <c r="N15" s="11">
        <f t="shared" si="3"/>
        <v>10400</v>
      </c>
    </row>
    <row r="16" spans="1:14" ht="15.75" x14ac:dyDescent="0.25">
      <c r="A16" s="8" t="s">
        <v>17</v>
      </c>
      <c r="B16" s="9"/>
      <c r="C16" s="9"/>
      <c r="D16" s="9">
        <f>D17+D23+D31+D35</f>
        <v>140100</v>
      </c>
      <c r="E16" s="9"/>
      <c r="F16" s="9">
        <f>F17+F23+F31+F35</f>
        <v>416343</v>
      </c>
      <c r="G16" s="12"/>
      <c r="H16" s="9">
        <f>H17+H23+H31+H35</f>
        <v>489125.07142857142</v>
      </c>
      <c r="I16" s="12"/>
      <c r="J16" s="9">
        <f>J17+J23+J31+J35</f>
        <v>237288.57142857142</v>
      </c>
      <c r="K16" s="12"/>
      <c r="L16" s="9">
        <f>L17+L23+L31+L35</f>
        <v>237288.57142857142</v>
      </c>
      <c r="M16" s="12"/>
      <c r="N16" s="9">
        <f>N17+N23+N31+N35</f>
        <v>221054.85714285713</v>
      </c>
    </row>
    <row r="17" spans="1:14" ht="15.75" x14ac:dyDescent="0.25">
      <c r="A17" s="13" t="s">
        <v>18</v>
      </c>
      <c r="B17" s="14"/>
      <c r="C17" s="14"/>
      <c r="D17" s="14">
        <f>SUM(D18:D22)</f>
        <v>85800</v>
      </c>
      <c r="E17" s="14"/>
      <c r="F17" s="14">
        <f>SUM(F18:F22)</f>
        <v>180492</v>
      </c>
      <c r="G17" s="11"/>
      <c r="H17" s="14">
        <f>SUM(H18:H22)</f>
        <v>263598.07142857142</v>
      </c>
      <c r="I17" s="11"/>
      <c r="J17" s="14">
        <f>SUM(J18:J22)</f>
        <v>110771.42857142858</v>
      </c>
      <c r="K17" s="11"/>
      <c r="L17" s="14">
        <f>SUM(L18:L22)</f>
        <v>110771.42857142858</v>
      </c>
      <c r="M17" s="11"/>
      <c r="N17" s="14">
        <f>SUM(N18:N22)</f>
        <v>107557.14285714286</v>
      </c>
    </row>
    <row r="18" spans="1:14" ht="18.75" customHeight="1" x14ac:dyDescent="0.25">
      <c r="A18" s="15" t="s">
        <v>19</v>
      </c>
      <c r="B18" s="16">
        <v>200</v>
      </c>
      <c r="C18" s="16">
        <v>215</v>
      </c>
      <c r="D18" s="16">
        <f>C18*B18</f>
        <v>43000</v>
      </c>
      <c r="E18" s="16">
        <f>540/2</f>
        <v>270</v>
      </c>
      <c r="F18" s="16">
        <f>E18*B18</f>
        <v>54000</v>
      </c>
      <c r="G18" s="11">
        <f>2000*0.1+E18</f>
        <v>470</v>
      </c>
      <c r="H18" s="11">
        <f t="shared" si="1"/>
        <v>94000</v>
      </c>
      <c r="I18" s="11">
        <f>2000*0.1</f>
        <v>200</v>
      </c>
      <c r="J18" s="11">
        <f t="shared" si="4"/>
        <v>40000</v>
      </c>
      <c r="K18" s="11">
        <f>2000*0.1</f>
        <v>200</v>
      </c>
      <c r="L18" s="11">
        <f t="shared" si="2"/>
        <v>40000</v>
      </c>
      <c r="M18" s="11">
        <f>2000*0.1</f>
        <v>200</v>
      </c>
      <c r="N18" s="11">
        <f t="shared" ref="N18:N21" si="5">M18*B18</f>
        <v>40000</v>
      </c>
    </row>
    <row r="19" spans="1:14" ht="15" customHeight="1" x14ac:dyDescent="0.25">
      <c r="A19" s="15" t="s">
        <v>20</v>
      </c>
      <c r="B19" s="16">
        <v>50</v>
      </c>
      <c r="C19" s="16">
        <v>60</v>
      </c>
      <c r="D19" s="16">
        <f t="shared" ref="D19:D21" si="6">C19*B19</f>
        <v>3000</v>
      </c>
      <c r="E19" s="16">
        <f>216/2</f>
        <v>108</v>
      </c>
      <c r="F19" s="16">
        <f>E19*B19</f>
        <v>5400</v>
      </c>
      <c r="G19" s="11">
        <f>2000*0.04+E19</f>
        <v>188</v>
      </c>
      <c r="H19" s="11">
        <f t="shared" si="1"/>
        <v>9400</v>
      </c>
      <c r="I19" s="11">
        <f>2000*0.04</f>
        <v>80</v>
      </c>
      <c r="J19" s="11">
        <f t="shared" si="4"/>
        <v>4000</v>
      </c>
      <c r="K19" s="11">
        <f>2000*0.04</f>
        <v>80</v>
      </c>
      <c r="L19" s="11">
        <f t="shared" si="2"/>
        <v>4000</v>
      </c>
      <c r="M19" s="11">
        <f>2000*0.04</f>
        <v>80</v>
      </c>
      <c r="N19" s="11">
        <f t="shared" si="5"/>
        <v>4000</v>
      </c>
    </row>
    <row r="20" spans="1:14" ht="16.5" customHeight="1" x14ac:dyDescent="0.25">
      <c r="A20" s="15" t="s">
        <v>21</v>
      </c>
      <c r="B20" s="16">
        <v>465</v>
      </c>
      <c r="C20" s="16">
        <v>40</v>
      </c>
      <c r="D20" s="16">
        <f t="shared" si="6"/>
        <v>18600</v>
      </c>
      <c r="E20" s="16">
        <f>300/2</f>
        <v>150</v>
      </c>
      <c r="F20" s="16">
        <f>E20*B20</f>
        <v>69750</v>
      </c>
      <c r="G20" s="11">
        <f>2000*0.05+E20</f>
        <v>250</v>
      </c>
      <c r="H20" s="11">
        <f t="shared" si="1"/>
        <v>116250</v>
      </c>
      <c r="I20" s="11">
        <f>2000*0.05</f>
        <v>100</v>
      </c>
      <c r="J20" s="11">
        <f t="shared" si="4"/>
        <v>46500</v>
      </c>
      <c r="K20" s="11">
        <f>2000*0.05</f>
        <v>100</v>
      </c>
      <c r="L20" s="11">
        <f t="shared" si="2"/>
        <v>46500</v>
      </c>
      <c r="M20" s="11">
        <f>2000*0.05</f>
        <v>100</v>
      </c>
      <c r="N20" s="11">
        <f t="shared" si="5"/>
        <v>46500</v>
      </c>
    </row>
    <row r="21" spans="1:14" ht="15.75" customHeight="1" x14ac:dyDescent="0.25">
      <c r="A21" s="15" t="s">
        <v>22</v>
      </c>
      <c r="B21" s="16">
        <v>42</v>
      </c>
      <c r="C21" s="16">
        <v>100</v>
      </c>
      <c r="D21" s="16">
        <f t="shared" si="6"/>
        <v>4200</v>
      </c>
      <c r="E21" s="16">
        <f>302/2</f>
        <v>151</v>
      </c>
      <c r="F21" s="16">
        <f>E21*B21</f>
        <v>6342</v>
      </c>
      <c r="G21" s="11">
        <f>2000*0.05+E21</f>
        <v>251</v>
      </c>
      <c r="H21" s="11">
        <f t="shared" si="1"/>
        <v>10542</v>
      </c>
      <c r="I21" s="11">
        <f>2000*0.05</f>
        <v>100</v>
      </c>
      <c r="J21" s="11">
        <f t="shared" si="4"/>
        <v>4200</v>
      </c>
      <c r="K21" s="11">
        <f>2000*0.05</f>
        <v>100</v>
      </c>
      <c r="L21" s="11">
        <f t="shared" si="2"/>
        <v>4200</v>
      </c>
      <c r="M21" s="11">
        <f>2000*0.05</f>
        <v>100</v>
      </c>
      <c r="N21" s="11">
        <f t="shared" si="5"/>
        <v>4200</v>
      </c>
    </row>
    <row r="22" spans="1:14" ht="16.5" customHeight="1" x14ac:dyDescent="0.25">
      <c r="A22" s="15" t="s">
        <v>23</v>
      </c>
      <c r="B22" s="16"/>
      <c r="C22" s="16"/>
      <c r="D22" s="16">
        <v>17000</v>
      </c>
      <c r="E22" s="16"/>
      <c r="F22" s="16">
        <v>45000</v>
      </c>
      <c r="G22" s="11"/>
      <c r="H22" s="11">
        <f>$F$22/$E$5*G8</f>
        <v>33406.071428571428</v>
      </c>
      <c r="I22" s="11"/>
      <c r="J22" s="11">
        <f t="shared" ref="J22:N22" si="7">$F$22/$E$5*I8</f>
        <v>16071.428571428572</v>
      </c>
      <c r="K22" s="11"/>
      <c r="L22" s="11">
        <f t="shared" si="7"/>
        <v>16071.428571428572</v>
      </c>
      <c r="M22" s="11"/>
      <c r="N22" s="11">
        <f t="shared" si="7"/>
        <v>12857.142857142857</v>
      </c>
    </row>
    <row r="23" spans="1:14" ht="31.5" x14ac:dyDescent="0.25">
      <c r="A23" s="17" t="s">
        <v>24</v>
      </c>
      <c r="B23" s="18"/>
      <c r="C23" s="18"/>
      <c r="D23" s="18">
        <f>SUM(D24:D29)</f>
        <v>42420</v>
      </c>
      <c r="E23" s="18"/>
      <c r="F23" s="18">
        <f>SUM(F24:F29)</f>
        <v>168100</v>
      </c>
      <c r="G23" s="11"/>
      <c r="H23" s="18">
        <f>SUM(H24:H29)</f>
        <v>192547.57142857142</v>
      </c>
      <c r="I23" s="11"/>
      <c r="J23" s="18">
        <f>SUM(J24:J29)</f>
        <v>99451.42857142858</v>
      </c>
      <c r="K23" s="11"/>
      <c r="L23" s="18">
        <f>SUM(L24:L29)</f>
        <v>99451.42857142858</v>
      </c>
      <c r="M23" s="11"/>
      <c r="N23" s="18">
        <f>SUM(N24:N29)</f>
        <v>90737.142857142855</v>
      </c>
    </row>
    <row r="24" spans="1:14" ht="17.25" customHeight="1" x14ac:dyDescent="0.25">
      <c r="A24" s="15" t="s">
        <v>25</v>
      </c>
      <c r="B24" s="16">
        <v>12</v>
      </c>
      <c r="C24" s="16">
        <v>60</v>
      </c>
      <c r="D24" s="16">
        <v>720</v>
      </c>
      <c r="E24" s="16">
        <f>2700/2</f>
        <v>1350</v>
      </c>
      <c r="F24" s="16">
        <f>E24*B24</f>
        <v>16200</v>
      </c>
      <c r="G24" s="11">
        <f>2000*0.5+E24</f>
        <v>2350</v>
      </c>
      <c r="H24" s="11">
        <f t="shared" si="1"/>
        <v>28200</v>
      </c>
      <c r="I24" s="11">
        <f>2000*0.5</f>
        <v>1000</v>
      </c>
      <c r="J24" s="11">
        <f t="shared" ref="J24:J26" si="8">I24*B24</f>
        <v>12000</v>
      </c>
      <c r="K24" s="11">
        <f>2000*0.5</f>
        <v>1000</v>
      </c>
      <c r="L24" s="11">
        <f t="shared" ref="L24:L26" si="9">K24*B24</f>
        <v>12000</v>
      </c>
      <c r="M24" s="11">
        <f>2000*0.5</f>
        <v>1000</v>
      </c>
      <c r="N24" s="11">
        <f t="shared" ref="N24:N26" si="10">M24*B24</f>
        <v>12000</v>
      </c>
    </row>
    <row r="25" spans="1:14" ht="16.5" customHeight="1" x14ac:dyDescent="0.25">
      <c r="A25" s="15" t="s">
        <v>26</v>
      </c>
      <c r="B25" s="16">
        <v>68</v>
      </c>
      <c r="C25" s="16"/>
      <c r="D25" s="16"/>
      <c r="E25" s="16">
        <f>200/2</f>
        <v>100</v>
      </c>
      <c r="F25" s="16">
        <f>E25*B25</f>
        <v>6800</v>
      </c>
      <c r="G25" s="11">
        <f>2000*0.08+E25</f>
        <v>260</v>
      </c>
      <c r="H25" s="11">
        <f t="shared" si="1"/>
        <v>17680</v>
      </c>
      <c r="I25" s="11">
        <f>2000*0.08</f>
        <v>160</v>
      </c>
      <c r="J25" s="11">
        <f t="shared" si="8"/>
        <v>10880</v>
      </c>
      <c r="K25" s="11">
        <f>2000*0.08</f>
        <v>160</v>
      </c>
      <c r="L25" s="11">
        <f t="shared" si="9"/>
        <v>10880</v>
      </c>
      <c r="M25" s="11">
        <f>2000*0.08</f>
        <v>160</v>
      </c>
      <c r="N25" s="11">
        <f t="shared" si="10"/>
        <v>10880</v>
      </c>
    </row>
    <row r="26" spans="1:14" ht="15.75" customHeight="1" x14ac:dyDescent="0.25">
      <c r="A26" s="15" t="s">
        <v>27</v>
      </c>
      <c r="B26" s="16">
        <v>550</v>
      </c>
      <c r="C26" s="16">
        <v>20</v>
      </c>
      <c r="D26" s="16">
        <v>11000</v>
      </c>
      <c r="E26" s="16">
        <f>84/2</f>
        <v>42</v>
      </c>
      <c r="F26" s="16">
        <f>E26*B26</f>
        <v>23100</v>
      </c>
      <c r="G26" s="11">
        <f>2000*0.03+E26</f>
        <v>102</v>
      </c>
      <c r="H26" s="11">
        <f t="shared" si="1"/>
        <v>56100</v>
      </c>
      <c r="I26" s="11">
        <f>2000*0.03</f>
        <v>60</v>
      </c>
      <c r="J26" s="11">
        <f t="shared" si="8"/>
        <v>33000</v>
      </c>
      <c r="K26" s="11">
        <f>2000*0.03</f>
        <v>60</v>
      </c>
      <c r="L26" s="11">
        <f t="shared" si="9"/>
        <v>33000</v>
      </c>
      <c r="M26" s="11">
        <f>2000*0.03</f>
        <v>60</v>
      </c>
      <c r="N26" s="11">
        <f t="shared" si="10"/>
        <v>33000</v>
      </c>
    </row>
    <row r="27" spans="1:14" ht="17.25" customHeight="1" x14ac:dyDescent="0.25">
      <c r="A27" s="15" t="s">
        <v>28</v>
      </c>
      <c r="B27" s="16"/>
      <c r="C27" s="16"/>
      <c r="D27" s="16">
        <v>5000</v>
      </c>
      <c r="E27" s="16"/>
      <c r="F27" s="16">
        <v>38000</v>
      </c>
      <c r="G27" s="11"/>
      <c r="H27" s="11">
        <f>$F$27/$E$5*G8</f>
        <v>28209.571428571431</v>
      </c>
      <c r="I27" s="11"/>
      <c r="J27" s="11">
        <f t="shared" ref="J27:N27" si="11">$F$27/$E$5*I8</f>
        <v>13571.428571428572</v>
      </c>
      <c r="K27" s="11"/>
      <c r="L27" s="11">
        <f t="shared" si="11"/>
        <v>13571.428571428572</v>
      </c>
      <c r="M27" s="11"/>
      <c r="N27" s="11">
        <f t="shared" si="11"/>
        <v>10857.142857142857</v>
      </c>
    </row>
    <row r="28" spans="1:14" ht="46.5" customHeight="1" x14ac:dyDescent="0.25">
      <c r="A28" s="15" t="s">
        <v>29</v>
      </c>
      <c r="B28" s="16"/>
      <c r="C28" s="16">
        <v>200</v>
      </c>
      <c r="D28" s="16">
        <v>20000</v>
      </c>
      <c r="E28" s="16"/>
      <c r="F28" s="16">
        <v>28000</v>
      </c>
      <c r="G28" s="11"/>
      <c r="H28" s="11">
        <f>$F$28/$E$5*G8</f>
        <v>20786</v>
      </c>
      <c r="I28" s="11"/>
      <c r="J28" s="11">
        <f t="shared" ref="J28:N28" si="12">$F$28/$E$5*I8</f>
        <v>10000</v>
      </c>
      <c r="K28" s="11"/>
      <c r="L28" s="11">
        <f t="shared" si="12"/>
        <v>10000</v>
      </c>
      <c r="M28" s="11"/>
      <c r="N28" s="11">
        <f t="shared" si="12"/>
        <v>8000</v>
      </c>
    </row>
    <row r="29" spans="1:14" ht="48" customHeight="1" x14ac:dyDescent="0.25">
      <c r="A29" s="15" t="s">
        <v>30</v>
      </c>
      <c r="B29" s="16"/>
      <c r="C29" s="16"/>
      <c r="D29" s="16">
        <v>5700</v>
      </c>
      <c r="E29" s="16"/>
      <c r="F29" s="16">
        <v>56000</v>
      </c>
      <c r="G29" s="11"/>
      <c r="H29" s="11">
        <f>$F$29/$E$5*G8</f>
        <v>41572</v>
      </c>
      <c r="I29" s="11"/>
      <c r="J29" s="11">
        <f t="shared" ref="J29:N29" si="13">$F$29/$E$5*I8</f>
        <v>20000</v>
      </c>
      <c r="K29" s="11"/>
      <c r="L29" s="11">
        <f t="shared" si="13"/>
        <v>20000</v>
      </c>
      <c r="M29" s="11"/>
      <c r="N29" s="11">
        <f t="shared" si="13"/>
        <v>16000</v>
      </c>
    </row>
    <row r="30" spans="1:14" ht="19.5" customHeight="1" x14ac:dyDescent="0.25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2" t="s">
        <v>31</v>
      </c>
    </row>
    <row r="31" spans="1:14" ht="18.75" customHeight="1" x14ac:dyDescent="0.25">
      <c r="A31" s="23" t="s">
        <v>32</v>
      </c>
      <c r="B31" s="24"/>
      <c r="C31" s="24"/>
      <c r="D31" s="24">
        <f>SUM(D32:D34)</f>
        <v>1880</v>
      </c>
      <c r="E31" s="24"/>
      <c r="F31" s="24">
        <f>SUM(F32:F34)</f>
        <v>13479</v>
      </c>
      <c r="G31" s="25"/>
      <c r="H31" s="24">
        <f>SUM(H32:H34)</f>
        <v>17473.142857142855</v>
      </c>
      <c r="I31" s="25"/>
      <c r="J31" s="24">
        <f>SUM(J32:J34)</f>
        <v>7682.8571428571431</v>
      </c>
      <c r="K31" s="25"/>
      <c r="L31" s="24">
        <f>SUM(L32:L34)</f>
        <v>7682.8571428571431</v>
      </c>
      <c r="M31" s="25"/>
      <c r="N31" s="24">
        <f>SUM(N32:N34)</f>
        <v>7254.2857142857138</v>
      </c>
    </row>
    <row r="32" spans="1:14" ht="15.75" x14ac:dyDescent="0.25">
      <c r="A32" s="15" t="s">
        <v>33</v>
      </c>
      <c r="B32" s="16">
        <v>205</v>
      </c>
      <c r="C32" s="16"/>
      <c r="D32" s="16"/>
      <c r="E32" s="16">
        <f>54/2</f>
        <v>27</v>
      </c>
      <c r="F32" s="16">
        <f>E32*B32</f>
        <v>5535</v>
      </c>
      <c r="G32" s="16">
        <f>2000*0.01+E32</f>
        <v>47</v>
      </c>
      <c r="H32" s="11">
        <f t="shared" si="1"/>
        <v>9635</v>
      </c>
      <c r="I32" s="16">
        <f>2000*0.01</f>
        <v>20</v>
      </c>
      <c r="J32" s="11">
        <f t="shared" ref="J32:J33" si="14">I32*B32</f>
        <v>4100</v>
      </c>
      <c r="K32" s="16">
        <f>2000*0.01</f>
        <v>20</v>
      </c>
      <c r="L32" s="11">
        <f t="shared" ref="L32:L33" si="15">K32*B32</f>
        <v>4100</v>
      </c>
      <c r="M32" s="16">
        <f>2000*0.01</f>
        <v>20</v>
      </c>
      <c r="N32" s="11">
        <f t="shared" ref="N32:N33" si="16">M32*B32</f>
        <v>4100</v>
      </c>
    </row>
    <row r="33" spans="1:14" ht="15.75" x14ac:dyDescent="0.25">
      <c r="A33" s="15" t="s">
        <v>34</v>
      </c>
      <c r="B33" s="16">
        <v>18</v>
      </c>
      <c r="C33" s="16">
        <v>60</v>
      </c>
      <c r="D33" s="16">
        <v>1080</v>
      </c>
      <c r="E33" s="16">
        <f>216/2</f>
        <v>108</v>
      </c>
      <c r="F33" s="16">
        <f>E33*B33</f>
        <v>1944</v>
      </c>
      <c r="G33" s="16">
        <f>2000*0.04+E33</f>
        <v>188</v>
      </c>
      <c r="H33" s="11">
        <f t="shared" si="1"/>
        <v>3384</v>
      </c>
      <c r="I33" s="16">
        <f>2000*0.04</f>
        <v>80</v>
      </c>
      <c r="J33" s="11">
        <f t="shared" si="14"/>
        <v>1440</v>
      </c>
      <c r="K33" s="16">
        <f>2000*0.04</f>
        <v>80</v>
      </c>
      <c r="L33" s="11">
        <f t="shared" si="15"/>
        <v>1440</v>
      </c>
      <c r="M33" s="16">
        <f>2000*0.04</f>
        <v>80</v>
      </c>
      <c r="N33" s="11">
        <f t="shared" si="16"/>
        <v>1440</v>
      </c>
    </row>
    <row r="34" spans="1:14" ht="15.75" x14ac:dyDescent="0.25">
      <c r="A34" s="15" t="s">
        <v>35</v>
      </c>
      <c r="B34" s="16"/>
      <c r="C34" s="16"/>
      <c r="D34" s="16">
        <v>800</v>
      </c>
      <c r="E34" s="16"/>
      <c r="F34" s="16">
        <v>6000</v>
      </c>
      <c r="G34" s="16"/>
      <c r="H34" s="11">
        <f>$F$34/$E$5*G8</f>
        <v>4454.1428571428569</v>
      </c>
      <c r="I34" s="11"/>
      <c r="J34" s="11">
        <f t="shared" ref="J34:N34" si="17">$F$34/$E$5*I8</f>
        <v>2142.8571428571427</v>
      </c>
      <c r="K34" s="11"/>
      <c r="L34" s="11">
        <f t="shared" si="17"/>
        <v>2142.8571428571427</v>
      </c>
      <c r="M34" s="11"/>
      <c r="N34" s="11">
        <f t="shared" si="17"/>
        <v>1714.2857142857142</v>
      </c>
    </row>
    <row r="35" spans="1:14" ht="31.5" x14ac:dyDescent="0.25">
      <c r="A35" s="26" t="s">
        <v>36</v>
      </c>
      <c r="B35" s="14"/>
      <c r="C35" s="14"/>
      <c r="D35" s="14">
        <v>10000</v>
      </c>
      <c r="E35" s="14"/>
      <c r="F35" s="14">
        <v>54272</v>
      </c>
      <c r="G35" s="11"/>
      <c r="H35" s="11">
        <f>F35/7000*2000</f>
        <v>15506.285714285716</v>
      </c>
      <c r="I35" s="11"/>
      <c r="J35" s="11">
        <f>F35/7000*2500</f>
        <v>19382.857142857145</v>
      </c>
      <c r="K35" s="11"/>
      <c r="L35" s="11">
        <v>19382.857142857145</v>
      </c>
      <c r="M35" s="11"/>
      <c r="N35" s="11">
        <v>15506.285714285716</v>
      </c>
    </row>
    <row r="36" spans="1:14" ht="33" customHeight="1" x14ac:dyDescent="0.25">
      <c r="A36" s="27" t="s">
        <v>37</v>
      </c>
      <c r="B36" s="28"/>
      <c r="C36" s="28"/>
      <c r="D36" s="28">
        <f>SUM(D37:D49)</f>
        <v>53900</v>
      </c>
      <c r="E36" s="28"/>
      <c r="F36" s="28">
        <f>SUM(F37:F46)</f>
        <v>207525</v>
      </c>
      <c r="G36" s="28"/>
      <c r="H36" s="28">
        <f>SUM(H37:H46)</f>
        <v>348735</v>
      </c>
      <c r="I36" s="28"/>
      <c r="J36" s="28">
        <f>SUM(J37:J46)</f>
        <v>138350</v>
      </c>
      <c r="K36" s="28"/>
      <c r="L36" s="28">
        <f>SUM(L37:L46)</f>
        <v>138350</v>
      </c>
      <c r="M36" s="28"/>
      <c r="N36" s="28">
        <f>SUM(N37:N46)</f>
        <v>138350</v>
      </c>
    </row>
    <row r="37" spans="1:14" ht="33.75" customHeight="1" x14ac:dyDescent="0.25">
      <c r="A37" s="15" t="s">
        <v>38</v>
      </c>
      <c r="B37" s="16">
        <v>2420</v>
      </c>
      <c r="C37" s="16"/>
      <c r="D37" s="16"/>
      <c r="E37" s="16">
        <f>15/2</f>
        <v>7.5</v>
      </c>
      <c r="F37" s="11">
        <f t="shared" ref="F37:F46" si="18">E37*B37</f>
        <v>18150</v>
      </c>
      <c r="G37" s="16">
        <f>5+8</f>
        <v>13</v>
      </c>
      <c r="H37" s="11">
        <f t="shared" si="1"/>
        <v>31460</v>
      </c>
      <c r="I37" s="16">
        <v>5</v>
      </c>
      <c r="J37" s="11">
        <f t="shared" ref="J37:J46" si="19">I37*B37</f>
        <v>12100</v>
      </c>
      <c r="K37" s="16">
        <v>5</v>
      </c>
      <c r="L37" s="11">
        <v>12100</v>
      </c>
      <c r="M37" s="16">
        <v>5</v>
      </c>
      <c r="N37" s="11">
        <v>12100</v>
      </c>
    </row>
    <row r="38" spans="1:14" ht="17.25" customHeight="1" x14ac:dyDescent="0.25">
      <c r="A38" s="15" t="s">
        <v>39</v>
      </c>
      <c r="B38" s="16">
        <v>1300</v>
      </c>
      <c r="C38" s="16">
        <v>8</v>
      </c>
      <c r="D38" s="16">
        <v>10400</v>
      </c>
      <c r="E38" s="16">
        <f>15/2</f>
        <v>7.5</v>
      </c>
      <c r="F38" s="11">
        <f t="shared" si="18"/>
        <v>9750</v>
      </c>
      <c r="G38" s="16">
        <f>13</f>
        <v>13</v>
      </c>
      <c r="H38" s="11">
        <f t="shared" si="1"/>
        <v>16900</v>
      </c>
      <c r="I38" s="16">
        <v>5</v>
      </c>
      <c r="J38" s="11">
        <f t="shared" si="19"/>
        <v>6500</v>
      </c>
      <c r="K38" s="16">
        <v>5</v>
      </c>
      <c r="L38" s="11">
        <v>6500</v>
      </c>
      <c r="M38" s="16">
        <v>5</v>
      </c>
      <c r="N38" s="11">
        <v>6500</v>
      </c>
    </row>
    <row r="39" spans="1:14" ht="15.75" x14ac:dyDescent="0.25">
      <c r="A39" s="15" t="s">
        <v>40</v>
      </c>
      <c r="B39" s="16">
        <v>1000</v>
      </c>
      <c r="C39" s="16"/>
      <c r="D39" s="16"/>
      <c r="E39" s="16">
        <f>30/2</f>
        <v>15</v>
      </c>
      <c r="F39" s="11">
        <f t="shared" si="18"/>
        <v>15000</v>
      </c>
      <c r="G39" s="16">
        <v>25</v>
      </c>
      <c r="H39" s="11">
        <f t="shared" si="1"/>
        <v>25000</v>
      </c>
      <c r="I39" s="16">
        <v>10</v>
      </c>
      <c r="J39" s="11">
        <f t="shared" si="19"/>
        <v>10000</v>
      </c>
      <c r="K39" s="16">
        <v>10</v>
      </c>
      <c r="L39" s="11">
        <v>10000</v>
      </c>
      <c r="M39" s="16">
        <v>10</v>
      </c>
      <c r="N39" s="11">
        <v>10000</v>
      </c>
    </row>
    <row r="40" spans="1:14" ht="15.75" x14ac:dyDescent="0.25">
      <c r="A40" s="15" t="s">
        <v>41</v>
      </c>
      <c r="B40" s="16">
        <v>500</v>
      </c>
      <c r="C40" s="16"/>
      <c r="D40" s="16"/>
      <c r="E40" s="16">
        <f>150/2</f>
        <v>75</v>
      </c>
      <c r="F40" s="11">
        <f t="shared" si="18"/>
        <v>37500</v>
      </c>
      <c r="G40" s="16">
        <v>125</v>
      </c>
      <c r="H40" s="11">
        <f t="shared" si="1"/>
        <v>62500</v>
      </c>
      <c r="I40" s="16">
        <v>50</v>
      </c>
      <c r="J40" s="11">
        <f t="shared" si="19"/>
        <v>25000</v>
      </c>
      <c r="K40" s="16">
        <v>50</v>
      </c>
      <c r="L40" s="11">
        <v>25000</v>
      </c>
      <c r="M40" s="16">
        <v>50</v>
      </c>
      <c r="N40" s="11">
        <v>25000</v>
      </c>
    </row>
    <row r="41" spans="1:14" ht="15.75" x14ac:dyDescent="0.25">
      <c r="A41" s="15" t="s">
        <v>42</v>
      </c>
      <c r="B41" s="16">
        <v>400</v>
      </c>
      <c r="C41" s="16"/>
      <c r="D41" s="16"/>
      <c r="E41" s="16">
        <f>6/2</f>
        <v>3</v>
      </c>
      <c r="F41" s="11">
        <f t="shared" si="18"/>
        <v>1200</v>
      </c>
      <c r="G41" s="16">
        <v>5</v>
      </c>
      <c r="H41" s="11">
        <f t="shared" si="1"/>
        <v>2000</v>
      </c>
      <c r="I41" s="16">
        <v>2</v>
      </c>
      <c r="J41" s="11">
        <f t="shared" si="19"/>
        <v>800</v>
      </c>
      <c r="K41" s="16">
        <v>2</v>
      </c>
      <c r="L41" s="11">
        <v>800</v>
      </c>
      <c r="M41" s="16">
        <v>2</v>
      </c>
      <c r="N41" s="11">
        <v>800</v>
      </c>
    </row>
    <row r="42" spans="1:14" ht="31.5" customHeight="1" x14ac:dyDescent="0.25">
      <c r="A42" s="29" t="s">
        <v>43</v>
      </c>
      <c r="B42" s="16">
        <v>215</v>
      </c>
      <c r="C42" s="16">
        <v>60</v>
      </c>
      <c r="D42" s="16">
        <v>12900</v>
      </c>
      <c r="E42" s="16">
        <f>90/2</f>
        <v>45</v>
      </c>
      <c r="F42" s="11">
        <f t="shared" si="18"/>
        <v>9675</v>
      </c>
      <c r="G42" s="16">
        <v>75</v>
      </c>
      <c r="H42" s="11">
        <f t="shared" si="1"/>
        <v>16125</v>
      </c>
      <c r="I42" s="16">
        <v>30</v>
      </c>
      <c r="J42" s="11">
        <f t="shared" si="19"/>
        <v>6450</v>
      </c>
      <c r="K42" s="16">
        <v>30</v>
      </c>
      <c r="L42" s="11">
        <v>6450</v>
      </c>
      <c r="M42" s="16">
        <v>30</v>
      </c>
      <c r="N42" s="11">
        <v>6450</v>
      </c>
    </row>
    <row r="43" spans="1:14" ht="15.75" x14ac:dyDescent="0.25">
      <c r="A43" s="29" t="s">
        <v>44</v>
      </c>
      <c r="B43" s="16">
        <v>2000</v>
      </c>
      <c r="C43" s="16">
        <v>6</v>
      </c>
      <c r="D43" s="16">
        <v>12000</v>
      </c>
      <c r="E43" s="16">
        <f>15/2</f>
        <v>7.5</v>
      </c>
      <c r="F43" s="11">
        <f t="shared" si="18"/>
        <v>15000</v>
      </c>
      <c r="G43" s="16">
        <v>13</v>
      </c>
      <c r="H43" s="11">
        <f t="shared" si="1"/>
        <v>26000</v>
      </c>
      <c r="I43" s="16">
        <v>5</v>
      </c>
      <c r="J43" s="11">
        <f t="shared" si="19"/>
        <v>10000</v>
      </c>
      <c r="K43" s="16">
        <v>5</v>
      </c>
      <c r="L43" s="11">
        <v>10000</v>
      </c>
      <c r="M43" s="16">
        <v>5</v>
      </c>
      <c r="N43" s="11">
        <v>10000</v>
      </c>
    </row>
    <row r="44" spans="1:14" ht="15.75" x14ac:dyDescent="0.25">
      <c r="A44" s="29" t="s">
        <v>45</v>
      </c>
      <c r="B44" s="16">
        <v>250</v>
      </c>
      <c r="C44" s="16"/>
      <c r="D44" s="16"/>
      <c r="E44" s="16">
        <f>90/2</f>
        <v>45</v>
      </c>
      <c r="F44" s="11">
        <f t="shared" si="18"/>
        <v>11250</v>
      </c>
      <c r="G44" s="16">
        <v>75</v>
      </c>
      <c r="H44" s="11">
        <f t="shared" si="1"/>
        <v>18750</v>
      </c>
      <c r="I44" s="16">
        <v>30</v>
      </c>
      <c r="J44" s="11">
        <f t="shared" si="19"/>
        <v>7500</v>
      </c>
      <c r="K44" s="16">
        <v>30</v>
      </c>
      <c r="L44" s="11">
        <v>7500</v>
      </c>
      <c r="M44" s="16">
        <v>30</v>
      </c>
      <c r="N44" s="11">
        <v>7500</v>
      </c>
    </row>
    <row r="45" spans="1:14" ht="32.25" customHeight="1" x14ac:dyDescent="0.25">
      <c r="A45" s="29" t="s">
        <v>46</v>
      </c>
      <c r="B45" s="16">
        <v>1000</v>
      </c>
      <c r="C45" s="16"/>
      <c r="D45" s="16"/>
      <c r="E45" s="16">
        <f>30/2</f>
        <v>15</v>
      </c>
      <c r="F45" s="11">
        <f t="shared" si="18"/>
        <v>15000</v>
      </c>
      <c r="G45" s="16">
        <v>25</v>
      </c>
      <c r="H45" s="11">
        <f t="shared" si="1"/>
        <v>25000</v>
      </c>
      <c r="I45" s="16">
        <v>10</v>
      </c>
      <c r="J45" s="11">
        <f t="shared" si="19"/>
        <v>10000</v>
      </c>
      <c r="K45" s="16">
        <v>10</v>
      </c>
      <c r="L45" s="11">
        <v>10000</v>
      </c>
      <c r="M45" s="16">
        <v>10</v>
      </c>
      <c r="N45" s="11">
        <v>10000</v>
      </c>
    </row>
    <row r="46" spans="1:14" ht="15.75" x14ac:dyDescent="0.25">
      <c r="A46" s="29" t="s">
        <v>47</v>
      </c>
      <c r="B46" s="16">
        <v>2500</v>
      </c>
      <c r="C46" s="16"/>
      <c r="D46" s="16"/>
      <c r="E46" s="16">
        <f>60/2</f>
        <v>30</v>
      </c>
      <c r="F46" s="11">
        <f t="shared" si="18"/>
        <v>75000</v>
      </c>
      <c r="G46" s="16">
        <v>50</v>
      </c>
      <c r="H46" s="11">
        <f t="shared" si="1"/>
        <v>125000</v>
      </c>
      <c r="I46" s="16">
        <v>20</v>
      </c>
      <c r="J46" s="11">
        <f t="shared" si="19"/>
        <v>50000</v>
      </c>
      <c r="K46" s="16">
        <v>20</v>
      </c>
      <c r="L46" s="11">
        <v>50000</v>
      </c>
      <c r="M46" s="16">
        <v>20</v>
      </c>
      <c r="N46" s="11">
        <v>50000</v>
      </c>
    </row>
    <row r="47" spans="1:14" ht="15.75" x14ac:dyDescent="0.25">
      <c r="A47" s="29" t="s">
        <v>48</v>
      </c>
      <c r="B47" s="16">
        <v>100</v>
      </c>
      <c r="C47" s="16">
        <v>20</v>
      </c>
      <c r="D47" s="16">
        <v>2000</v>
      </c>
      <c r="E47" s="16"/>
      <c r="F47" s="11"/>
      <c r="G47" s="16"/>
      <c r="H47" s="11"/>
      <c r="I47" s="16"/>
      <c r="J47" s="11"/>
      <c r="K47" s="16"/>
      <c r="L47" s="11"/>
      <c r="M47" s="16"/>
      <c r="N47" s="11"/>
    </row>
    <row r="48" spans="1:14" ht="31.5" x14ac:dyDescent="0.25">
      <c r="A48" s="29" t="s">
        <v>49</v>
      </c>
      <c r="B48" s="16">
        <v>66</v>
      </c>
      <c r="C48" s="16">
        <v>100</v>
      </c>
      <c r="D48" s="16">
        <v>6600</v>
      </c>
      <c r="E48" s="16"/>
      <c r="F48" s="11"/>
      <c r="G48" s="16"/>
      <c r="H48" s="11"/>
      <c r="I48" s="16"/>
      <c r="J48" s="11"/>
      <c r="K48" s="16"/>
      <c r="L48" s="11"/>
      <c r="M48" s="16"/>
      <c r="N48" s="11"/>
    </row>
    <row r="49" spans="1:14" ht="31.5" x14ac:dyDescent="0.25">
      <c r="A49" s="29" t="s">
        <v>50</v>
      </c>
      <c r="B49" s="16">
        <v>100</v>
      </c>
      <c r="C49" s="16">
        <v>100</v>
      </c>
      <c r="D49" s="16">
        <v>10000</v>
      </c>
      <c r="E49" s="16"/>
      <c r="F49" s="11"/>
      <c r="G49" s="16"/>
      <c r="H49" s="11"/>
      <c r="I49" s="16"/>
      <c r="J49" s="11"/>
      <c r="K49" s="16"/>
      <c r="L49" s="11"/>
      <c r="M49" s="16"/>
      <c r="N49" s="11"/>
    </row>
    <row r="50" spans="1:14" ht="15.75" x14ac:dyDescent="0.25">
      <c r="A50" s="30" t="s">
        <v>51</v>
      </c>
      <c r="B50" s="31"/>
      <c r="C50" s="31"/>
      <c r="D50" s="32">
        <f>D36+D16+D7</f>
        <v>285500</v>
      </c>
      <c r="E50" s="32"/>
      <c r="F50" s="32">
        <f>F36+F16+F7</f>
        <v>1851450.5</v>
      </c>
      <c r="G50" s="32"/>
      <c r="H50" s="32">
        <f>H36+H16+H7</f>
        <v>2827842.5714285714</v>
      </c>
      <c r="I50" s="32"/>
      <c r="J50" s="32">
        <f t="shared" ref="J50:N50" si="20">J36+J16+J7</f>
        <v>1349638.5714285714</v>
      </c>
      <c r="K50" s="32"/>
      <c r="L50" s="32">
        <f t="shared" si="20"/>
        <v>1349638.5714285714</v>
      </c>
      <c r="M50" s="32"/>
      <c r="N50" s="32">
        <f t="shared" si="20"/>
        <v>1138604.8571428573</v>
      </c>
    </row>
    <row r="51" spans="1:14" ht="15.75" x14ac:dyDescent="0.25">
      <c r="A51" s="33" t="s">
        <v>52</v>
      </c>
      <c r="B51" s="33"/>
      <c r="C51" s="33"/>
      <c r="D51" s="34">
        <f>D50</f>
        <v>285500</v>
      </c>
      <c r="E51" s="34"/>
      <c r="F51" s="34">
        <f>F50</f>
        <v>1851450.5</v>
      </c>
      <c r="G51" s="34"/>
      <c r="H51" s="34">
        <f>F50</f>
        <v>1851450.5</v>
      </c>
      <c r="I51" s="34"/>
      <c r="J51" s="34"/>
      <c r="K51" s="34"/>
      <c r="L51" s="34"/>
      <c r="M51" s="34"/>
      <c r="N51" s="34"/>
    </row>
    <row r="52" spans="1:14" ht="15.75" x14ac:dyDescent="0.25">
      <c r="A52" s="33" t="s">
        <v>53</v>
      </c>
      <c r="B52" s="33"/>
      <c r="C52" s="33"/>
      <c r="D52" s="34"/>
      <c r="E52" s="34"/>
      <c r="F52" s="34"/>
      <c r="G52" s="34"/>
      <c r="H52" s="34">
        <f>H50-H51</f>
        <v>976392.07142857136</v>
      </c>
      <c r="I52" s="34"/>
      <c r="J52" s="34">
        <f>J50</f>
        <v>1349638.5714285714</v>
      </c>
      <c r="K52" s="34"/>
      <c r="L52" s="34">
        <f>L50</f>
        <v>1349638.5714285714</v>
      </c>
      <c r="M52" s="34"/>
      <c r="N52" s="34">
        <f>N50</f>
        <v>1138604.8571428573</v>
      </c>
    </row>
    <row r="53" spans="1:14" ht="21.75" customHeight="1" x14ac:dyDescent="0.25">
      <c r="A53" s="35" t="s">
        <v>54</v>
      </c>
      <c r="B53" s="36"/>
      <c r="C53" s="36"/>
      <c r="D53" s="37">
        <f>D51</f>
        <v>285500</v>
      </c>
      <c r="E53" s="37"/>
      <c r="F53" s="37">
        <f>277000</f>
        <v>277000</v>
      </c>
      <c r="G53" s="37"/>
      <c r="H53" s="37">
        <f>277000</f>
        <v>277000</v>
      </c>
      <c r="I53" s="37"/>
      <c r="J53" s="37">
        <v>277000</v>
      </c>
      <c r="K53" s="37"/>
      <c r="L53" s="37">
        <v>277000</v>
      </c>
      <c r="M53" s="37"/>
      <c r="N53" s="37">
        <v>277000</v>
      </c>
    </row>
    <row r="54" spans="1:14" ht="15.75" x14ac:dyDescent="0.25">
      <c r="A54" s="36" t="s">
        <v>55</v>
      </c>
      <c r="B54" s="36"/>
      <c r="C54" s="36"/>
      <c r="D54" s="37"/>
      <c r="E54" s="37"/>
      <c r="F54" s="37">
        <f>F50-F53</f>
        <v>1574450.5</v>
      </c>
      <c r="G54" s="37"/>
      <c r="H54" s="37">
        <f t="shared" ref="H54:N54" si="21">H50-H53</f>
        <v>2550842.5714285714</v>
      </c>
      <c r="I54" s="37"/>
      <c r="J54" s="37">
        <f t="shared" si="21"/>
        <v>1072638.5714285714</v>
      </c>
      <c r="K54" s="37"/>
      <c r="L54" s="37">
        <f t="shared" si="21"/>
        <v>1072638.5714285714</v>
      </c>
      <c r="M54" s="37"/>
      <c r="N54" s="37">
        <f t="shared" si="21"/>
        <v>861604.85714285728</v>
      </c>
    </row>
    <row r="55" spans="1:14" s="41" customFormat="1" ht="83.25" customHeight="1" x14ac:dyDescent="0.25">
      <c r="A55" s="38"/>
      <c r="B55" s="38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 t="s">
        <v>56</v>
      </c>
    </row>
    <row r="56" spans="1:14" ht="15.75" x14ac:dyDescent="0.25">
      <c r="A56" s="1" t="s">
        <v>57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1" t="s">
        <v>58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59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4" ht="15.75" x14ac:dyDescent="0.25">
      <c r="A60" s="2" t="s">
        <v>60</v>
      </c>
      <c r="B60" s="42"/>
      <c r="C60" s="42"/>
      <c r="D60" s="42"/>
      <c r="E60" s="42"/>
      <c r="F60" s="2"/>
      <c r="G60" s="2"/>
      <c r="H60" s="2"/>
      <c r="I60" s="48"/>
      <c r="J60" s="48"/>
      <c r="K60" s="2"/>
      <c r="L60" s="48" t="s">
        <v>61</v>
      </c>
      <c r="M60" s="48"/>
      <c r="N60" s="2"/>
    </row>
    <row r="61" spans="1:14" ht="15.75" x14ac:dyDescent="0.25">
      <c r="A61" s="2"/>
      <c r="B61" s="43"/>
      <c r="C61" s="43"/>
      <c r="D61" s="43"/>
      <c r="E61" s="43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" t="s">
        <v>62</v>
      </c>
      <c r="B63" s="42"/>
      <c r="C63" s="42"/>
      <c r="D63" s="42"/>
      <c r="E63" s="42"/>
      <c r="F63" s="2"/>
      <c r="G63" s="2"/>
      <c r="H63" s="2"/>
      <c r="I63" s="48"/>
      <c r="J63" s="48"/>
      <c r="K63" s="2"/>
      <c r="L63" s="48" t="s">
        <v>63</v>
      </c>
      <c r="M63" s="48"/>
      <c r="N63" s="2"/>
    </row>
    <row r="64" spans="1:14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44">
        <v>41922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45">
        <v>961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46" t="s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46" t="s">
        <v>65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93" spans="14:14" ht="15.75" x14ac:dyDescent="0.25">
      <c r="N93" s="40" t="s">
        <v>66</v>
      </c>
    </row>
  </sheetData>
  <mergeCells count="18">
    <mergeCell ref="M1:N1"/>
    <mergeCell ref="A2:N2"/>
    <mergeCell ref="C4:D4"/>
    <mergeCell ref="E4:F4"/>
    <mergeCell ref="G4:H4"/>
    <mergeCell ref="I4:J4"/>
    <mergeCell ref="K4:L4"/>
    <mergeCell ref="M4:N4"/>
    <mergeCell ref="I60:J60"/>
    <mergeCell ref="L60:M60"/>
    <mergeCell ref="I63:J63"/>
    <mergeCell ref="L63:M63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85" fitToHeight="0" orientation="landscape" r:id="rId1"/>
  <headerFooter>
    <oddFooter>&amp;L&amp;"Times New Roman,Regular"Pielikums Nr4_Par Jaunsardzes attīstību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Nr4</vt:lpstr>
      <vt:lpstr>'Pielikums Nr4'!Print_Area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2014-10-15T11:13:06Z</dcterms:created>
  <dcterms:modified xsi:type="dcterms:W3CDTF">2014-10-15T12:30:31Z</dcterms:modified>
</cp:coreProperties>
</file>